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-460" windowWidth="40960" windowHeight="23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26" i="1"/>
  <c r="C14" i="1"/>
  <c r="B17" i="1"/>
  <c r="D4" i="1"/>
  <c r="F4" i="1"/>
  <c r="F5" i="1"/>
  <c r="F6" i="1"/>
  <c r="F7" i="1"/>
  <c r="F8" i="1"/>
  <c r="D8" i="1"/>
  <c r="E8" i="1"/>
  <c r="C9" i="1"/>
  <c r="B18" i="1"/>
  <c r="B16" i="1"/>
  <c r="B14" i="1"/>
  <c r="B12" i="1"/>
  <c r="B13" i="1"/>
  <c r="C23" i="1"/>
  <c r="C24" i="1"/>
  <c r="D3" i="1"/>
  <c r="E22" i="1"/>
  <c r="E23" i="1"/>
  <c r="E24" i="1"/>
  <c r="D24" i="1"/>
  <c r="E3" i="1"/>
  <c r="F3" i="1"/>
  <c r="B15" i="1"/>
</calcChain>
</file>

<file path=xl/sharedStrings.xml><?xml version="1.0" encoding="utf-8"?>
<sst xmlns="http://schemas.openxmlformats.org/spreadsheetml/2006/main" count="26" uniqueCount="25">
  <si>
    <t>Moment</t>
  </si>
  <si>
    <t>Total</t>
  </si>
  <si>
    <t>nose</t>
  </si>
  <si>
    <t>total</t>
  </si>
  <si>
    <t>Weight (lbs.)</t>
  </si>
  <si>
    <t>main</t>
  </si>
  <si>
    <t>arm</t>
  </si>
  <si>
    <t>moment</t>
  </si>
  <si>
    <t>Arm (ins.)</t>
  </si>
  <si>
    <t>Enter data for each flight in green cells only</t>
  </si>
  <si>
    <r>
      <t xml:space="preserve">Empty Weight </t>
    </r>
    <r>
      <rPr>
        <i/>
        <sz val="12"/>
        <color theme="1"/>
        <rFont val="Calibri"/>
        <scheme val="minor"/>
      </rPr>
      <t>(full oil/coolant, unusable fuel)</t>
    </r>
  </si>
  <si>
    <r>
      <t xml:space="preserve">Fuel qty. in gallons </t>
    </r>
    <r>
      <rPr>
        <i/>
        <sz val="12"/>
        <color theme="1"/>
        <rFont val="Calibri"/>
        <scheme val="minor"/>
      </rPr>
      <t>(max 19.8)</t>
    </r>
  </si>
  <si>
    <t>W&amp;B cautions:</t>
  </si>
  <si>
    <t xml:space="preserve">lbs. </t>
  </si>
  <si>
    <t>N239VA RV12 SLSA</t>
  </si>
  <si>
    <t>Pilot</t>
  </si>
  <si>
    <t>Passenger</t>
  </si>
  <si>
    <t>Baggage compartment (50 lbs. max)</t>
  </si>
  <si>
    <t>6-28-13 weighing</t>
  </si>
  <si>
    <t xml:space="preserve">Center of gravity is at </t>
  </si>
  <si>
    <t>CG limits:</t>
  </si>
  <si>
    <t>80.49 - 85.39</t>
  </si>
  <si>
    <t>Useful Load</t>
  </si>
  <si>
    <t>Payload</t>
  </si>
  <si>
    <t>lbs.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</si>
</sst>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theme="3" tint="0.39997558519241921"/>
      <name val="Calibri"/>
      <scheme val="minor"/>
    </font>
    <font>
      <b/>
      <sz val="22"/>
      <color theme="1"/>
      <name val="Calibri"/>
      <scheme val="minor"/>
    </font>
    <font>
      <sz val="8"/>
      <name val="Calibri"/>
      <family val="2"/>
      <scheme val="minor"/>
    </font>
    <font>
      <sz val="12"/>
      <color theme="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theme="4" tint="0.499984740745262"/>
      </bottom>
      <diagonal/>
    </border>
    <border>
      <left/>
      <right style="thin">
        <color auto="1"/>
      </right>
      <top style="thin">
        <color auto="1"/>
      </top>
      <bottom style="thick">
        <color theme="4" tint="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9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2" xfId="4"/>
    <xf numFmtId="2" fontId="4" fillId="0" borderId="2" xfId="4" applyNumberFormat="1"/>
    <xf numFmtId="2" fontId="2" fillId="2" borderId="3" xfId="2" applyNumberFormat="1" applyBorder="1"/>
    <xf numFmtId="0" fontId="0" fillId="0" borderId="5" xfId="0" applyBorder="1"/>
    <xf numFmtId="0" fontId="1" fillId="0" borderId="6" xfId="1" applyBorder="1"/>
    <xf numFmtId="0" fontId="1" fillId="0" borderId="7" xfId="1" applyBorder="1"/>
    <xf numFmtId="0" fontId="0" fillId="0" borderId="8" xfId="0" applyBorder="1"/>
    <xf numFmtId="2" fontId="0" fillId="0" borderId="0" xfId="0" applyNumberFormat="1" applyBorder="1"/>
    <xf numFmtId="2" fontId="0" fillId="0" borderId="9" xfId="0" applyNumberFormat="1" applyBorder="1"/>
    <xf numFmtId="0" fontId="0" fillId="0" borderId="10" xfId="0" applyBorder="1"/>
    <xf numFmtId="0" fontId="3" fillId="3" borderId="10" xfId="3" applyFill="1" applyBorder="1"/>
    <xf numFmtId="2" fontId="0" fillId="0" borderId="10" xfId="0" applyNumberFormat="1" applyBorder="1"/>
    <xf numFmtId="0" fontId="8" fillId="0" borderId="4" xfId="0" applyFont="1" applyBorder="1"/>
    <xf numFmtId="0" fontId="3" fillId="3" borderId="11" xfId="3" applyFill="1" applyBorder="1"/>
    <xf numFmtId="0" fontId="9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 applyAlignment="1">
      <alignment horizontal="right"/>
    </xf>
    <xf numFmtId="0" fontId="3" fillId="3" borderId="12" xfId="3" applyFill="1" applyBorder="1"/>
    <xf numFmtId="0" fontId="11" fillId="3" borderId="10" xfId="3" applyFont="1" applyFill="1" applyBorder="1"/>
  </cellXfs>
  <cellStyles count="19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Good" xfId="2" builtinId="26"/>
    <cellStyle name="Heading 2" xfId="1" builtinId="17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Total" xfId="4" builtinId="25"/>
    <cellStyle name="Warning Text" xfId="3" builtinId="1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200" zoomScaleNormal="200" zoomScalePageLayoutView="200" workbookViewId="0">
      <selection activeCell="D28" sqref="D28"/>
    </sheetView>
  </sheetViews>
  <sheetFormatPr baseColWidth="10" defaultRowHeight="15" x14ac:dyDescent="0"/>
  <cols>
    <col min="2" max="2" width="31.6640625" customWidth="1"/>
    <col min="3" max="3" width="8" customWidth="1"/>
    <col min="4" max="4" width="13" customWidth="1"/>
  </cols>
  <sheetData>
    <row r="1" spans="2:6" ht="28">
      <c r="B1" s="15" t="s">
        <v>14</v>
      </c>
    </row>
    <row r="2" spans="2:6" ht="17" thickBot="1">
      <c r="B2" s="13" t="s">
        <v>9</v>
      </c>
      <c r="C2" s="4"/>
      <c r="D2" s="5" t="s">
        <v>4</v>
      </c>
      <c r="E2" s="5" t="s">
        <v>8</v>
      </c>
      <c r="F2" s="6" t="s">
        <v>0</v>
      </c>
    </row>
    <row r="3" spans="2:6" ht="16" thickTop="1">
      <c r="B3" s="7" t="s">
        <v>10</v>
      </c>
      <c r="C3" s="8"/>
      <c r="D3" s="8">
        <f>C24</f>
        <v>761</v>
      </c>
      <c r="E3" s="8">
        <f>D24</f>
        <v>80.536754270696449</v>
      </c>
      <c r="F3" s="9">
        <f>E3*D3</f>
        <v>61288.469999999994</v>
      </c>
    </row>
    <row r="4" spans="2:6">
      <c r="B4" s="7" t="s">
        <v>11</v>
      </c>
      <c r="C4" s="3">
        <v>19.8</v>
      </c>
      <c r="D4" s="8">
        <f>C4*6</f>
        <v>118.80000000000001</v>
      </c>
      <c r="E4" s="8">
        <v>110.28</v>
      </c>
      <c r="F4" s="9">
        <f t="shared" ref="F4:F5" si="0">E4*D4</f>
        <v>13101.264000000001</v>
      </c>
    </row>
    <row r="5" spans="2:6">
      <c r="B5" s="7" t="s">
        <v>15</v>
      </c>
      <c r="C5" s="8"/>
      <c r="D5" s="3">
        <v>180</v>
      </c>
      <c r="E5" s="8">
        <v>78.849999999999994</v>
      </c>
      <c r="F5" s="9">
        <f t="shared" si="0"/>
        <v>14192.999999999998</v>
      </c>
    </row>
    <row r="6" spans="2:6">
      <c r="B6" s="7" t="s">
        <v>16</v>
      </c>
      <c r="C6" s="8"/>
      <c r="D6" s="3">
        <v>180</v>
      </c>
      <c r="E6" s="8">
        <v>78.849999999999994</v>
      </c>
      <c r="F6" s="9">
        <f>E6*D6</f>
        <v>14192.999999999998</v>
      </c>
    </row>
    <row r="7" spans="2:6">
      <c r="B7" s="7" t="s">
        <v>17</v>
      </c>
      <c r="C7" s="8"/>
      <c r="D7" s="3">
        <v>50</v>
      </c>
      <c r="E7" s="8">
        <v>110.81</v>
      </c>
      <c r="F7" s="9">
        <f>E7*D7</f>
        <v>5540.5</v>
      </c>
    </row>
    <row r="8" spans="2:6" ht="16" thickBot="1">
      <c r="B8" s="1" t="s">
        <v>1</v>
      </c>
      <c r="C8" s="2"/>
      <c r="D8" s="2">
        <f>SUM(D3:D7)</f>
        <v>1289.8</v>
      </c>
      <c r="E8" s="2">
        <f>F8/D8</f>
        <v>83.979092882617465</v>
      </c>
      <c r="F8" s="2">
        <f>SUM(F3:F7)</f>
        <v>108316.234</v>
      </c>
    </row>
    <row r="9" spans="2:6" ht="16" thickTop="1">
      <c r="B9" s="16" t="s">
        <v>19</v>
      </c>
      <c r="C9" s="17">
        <f>E8</f>
        <v>83.979092882617465</v>
      </c>
    </row>
    <row r="10" spans="2:6">
      <c r="B10" s="18" t="s">
        <v>20</v>
      </c>
      <c r="C10" t="s">
        <v>21</v>
      </c>
    </row>
    <row r="11" spans="2:6">
      <c r="B11" t="s">
        <v>12</v>
      </c>
      <c r="C11" s="10"/>
    </row>
    <row r="12" spans="2:6">
      <c r="B12" s="11" t="str">
        <f>IF(D6&gt;300,"Right seat is more than 300 lbs. limit"," ")</f>
        <v xml:space="preserve"> </v>
      </c>
      <c r="C12" s="10"/>
    </row>
    <row r="13" spans="2:6">
      <c r="B13" s="11" t="str">
        <f>IF(D5&gt;300,"Left seat weight is over 300 lbs. limit"," ")</f>
        <v xml:space="preserve"> </v>
      </c>
      <c r="C13" s="10"/>
    </row>
    <row r="14" spans="2:6">
      <c r="B14" s="20" t="str">
        <f>IF(D8&lt;=1320,"Gross weight is below max weight by","Gross weight is above max weight by")</f>
        <v>Gross weight is below max weight by</v>
      </c>
      <c r="C14" s="12">
        <f>(D8-1320)*-1</f>
        <v>30.200000000000045</v>
      </c>
      <c r="D14" t="s">
        <v>13</v>
      </c>
    </row>
    <row r="15" spans="2:6">
      <c r="B15" s="11" t="str">
        <f>IF(C4&gt;19.8,"Reduce fuel amount. Max fuel capacity is 19.8 gallons"," ")</f>
        <v xml:space="preserve"> </v>
      </c>
      <c r="C15" s="10"/>
    </row>
    <row r="16" spans="2:6">
      <c r="B16" s="11" t="str">
        <f>IF(E8&gt;85.39,"C.G. is too far aft for safe flight"," ")</f>
        <v xml:space="preserve"> </v>
      </c>
      <c r="C16" s="10"/>
    </row>
    <row r="17" spans="2:5">
      <c r="B17" s="19" t="str">
        <f>IF(D7&gt;50,"Max Baggage weight is 50 lbs."," ")</f>
        <v xml:space="preserve"> </v>
      </c>
      <c r="C17" s="10"/>
    </row>
    <row r="18" spans="2:5">
      <c r="B18" s="14" t="str">
        <f>IF(E8&lt;80.49,"C.G. is too far forward"," ")</f>
        <v xml:space="preserve"> </v>
      </c>
      <c r="C18" s="10"/>
    </row>
    <row r="20" spans="2:5">
      <c r="B20" t="s">
        <v>18</v>
      </c>
    </row>
    <row r="21" spans="2:5">
      <c r="D21" t="s">
        <v>6</v>
      </c>
      <c r="E21" t="s">
        <v>7</v>
      </c>
    </row>
    <row r="22" spans="2:5">
      <c r="B22" t="s">
        <v>2</v>
      </c>
      <c r="C22">
        <v>158</v>
      </c>
      <c r="D22">
        <v>29.88</v>
      </c>
      <c r="E22">
        <f>D22*C22</f>
        <v>4721.04</v>
      </c>
    </row>
    <row r="23" spans="2:5">
      <c r="B23" t="s">
        <v>5</v>
      </c>
      <c r="C23">
        <f>297+306</f>
        <v>603</v>
      </c>
      <c r="D23">
        <v>93.81</v>
      </c>
      <c r="E23">
        <f>D23*C23</f>
        <v>56567.43</v>
      </c>
    </row>
    <row r="24" spans="2:5">
      <c r="B24" t="s">
        <v>3</v>
      </c>
      <c r="C24">
        <f>SUM(C22:C23)</f>
        <v>761</v>
      </c>
      <c r="D24">
        <f>E24/C24</f>
        <v>80.536754270696449</v>
      </c>
      <c r="E24">
        <f>SUM(E22:E23)</f>
        <v>61288.47</v>
      </c>
    </row>
    <row r="26" spans="2:5">
      <c r="B26" t="s">
        <v>22</v>
      </c>
      <c r="C26">
        <f>1320-C24</f>
        <v>559</v>
      </c>
      <c r="D26" t="s">
        <v>24</v>
      </c>
    </row>
    <row r="27" spans="2:5">
      <c r="B27" t="s">
        <v>23</v>
      </c>
      <c r="C27">
        <f>C26-(19.8*6)</f>
        <v>440.2</v>
      </c>
      <c r="D27" t="s">
        <v>24</v>
      </c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</sheetData>
  <phoneticPr fontId="1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GlassCockpit Aviation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Patch</dc:creator>
  <cp:lastModifiedBy>David Patch</cp:lastModifiedBy>
  <cp:lastPrinted>2018-05-28T22:16:10Z</cp:lastPrinted>
  <dcterms:created xsi:type="dcterms:W3CDTF">2018-05-27T17:20:52Z</dcterms:created>
  <dcterms:modified xsi:type="dcterms:W3CDTF">2018-10-13T03:39:05Z</dcterms:modified>
</cp:coreProperties>
</file>